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kosheverskaya\Documents\МОИ\Радуга\"/>
    </mc:Choice>
  </mc:AlternateContent>
  <bookViews>
    <workbookView xWindow="240" yWindow="75" windowWidth="20055" windowHeight="7935"/>
  </bookViews>
  <sheets>
    <sheet name="СМЕТА НА 2019 г" sheetId="1" r:id="rId1"/>
    <sheet name="Фонд оплаты труда" sheetId="2" r:id="rId2"/>
    <sheet name="Текущий ремонт по статьям" sheetId="7" r:id="rId3"/>
  </sheets>
  <calcPr calcId="162913" refMode="R1C1"/>
</workbook>
</file>

<file path=xl/calcChain.xml><?xml version="1.0" encoding="utf-8"?>
<calcChain xmlns="http://schemas.openxmlformats.org/spreadsheetml/2006/main">
  <c r="H18" i="1" l="1"/>
  <c r="H17" i="1"/>
  <c r="G14" i="2" l="1"/>
  <c r="J13" i="2"/>
  <c r="J14" i="2"/>
  <c r="J15" i="2"/>
  <c r="J16" i="2"/>
  <c r="J12" i="2"/>
  <c r="G17" i="2"/>
  <c r="K17" i="2" s="1"/>
  <c r="K14" i="2"/>
  <c r="K15" i="2"/>
  <c r="K16" i="2"/>
  <c r="K13" i="2"/>
  <c r="H35" i="1"/>
  <c r="H41" i="1"/>
  <c r="J41" i="1" s="1"/>
  <c r="H38" i="1"/>
  <c r="H39" i="1"/>
  <c r="I39" i="1" s="1"/>
  <c r="H37" i="1"/>
  <c r="I56" i="1" s="1"/>
  <c r="H49" i="1"/>
  <c r="H44" i="1"/>
  <c r="J49" i="1" l="1"/>
  <c r="I49" i="1"/>
  <c r="G18" i="2"/>
  <c r="J18" i="2"/>
  <c r="G44" i="1"/>
  <c r="K44" i="1" s="1"/>
  <c r="H16" i="1"/>
  <c r="H15" i="1"/>
  <c r="H28" i="1"/>
  <c r="H50" i="1"/>
  <c r="H48" i="1"/>
  <c r="J48" i="1" l="1"/>
  <c r="K48" i="1"/>
  <c r="I48" i="1"/>
  <c r="J50" i="1"/>
  <c r="K50" i="1"/>
  <c r="I50" i="1"/>
  <c r="H14" i="1"/>
  <c r="J14" i="1" l="1"/>
  <c r="K14" i="1"/>
  <c r="I14" i="1"/>
  <c r="F14" i="7" l="1"/>
  <c r="F16" i="7" s="1"/>
  <c r="E14" i="7"/>
  <c r="E16" i="7" s="1"/>
  <c r="G5" i="7"/>
  <c r="D14" i="7"/>
  <c r="H51" i="1"/>
  <c r="I51" i="1" s="1"/>
  <c r="H32" i="1"/>
  <c r="H26" i="1"/>
  <c r="H20" i="1"/>
  <c r="H22" i="1" l="1"/>
  <c r="D16" i="7"/>
  <c r="D15" i="7"/>
  <c r="D79" i="1" l="1"/>
  <c r="G19" i="2" l="1"/>
  <c r="H21" i="1" l="1"/>
  <c r="H19" i="1" s="1"/>
  <c r="G22" i="1"/>
  <c r="G19" i="1"/>
  <c r="K22" i="1" l="1"/>
  <c r="J22" i="1"/>
  <c r="I22" i="1"/>
  <c r="K19" i="1"/>
  <c r="K52" i="1" s="1"/>
  <c r="K53" i="1" s="1"/>
  <c r="K54" i="1" s="1"/>
  <c r="I19" i="1"/>
  <c r="I52" i="1" s="1"/>
  <c r="I53" i="1" s="1"/>
  <c r="J19" i="1"/>
  <c r="J52" i="1" s="1"/>
  <c r="J53" i="1" s="1"/>
  <c r="J54" i="1" s="1"/>
  <c r="H52" i="1"/>
  <c r="K12" i="2"/>
  <c r="I54" i="1" l="1"/>
  <c r="I55" i="1"/>
  <c r="I57" i="1" s="1"/>
  <c r="K19" i="2"/>
  <c r="G20" i="2"/>
  <c r="K18" i="2"/>
  <c r="K20" i="2" l="1"/>
</calcChain>
</file>

<file path=xl/sharedStrings.xml><?xml version="1.0" encoding="utf-8"?>
<sst xmlns="http://schemas.openxmlformats.org/spreadsheetml/2006/main" count="100" uniqueCount="91">
  <si>
    <t>Утверждена Решением правления ТСЖ "Радуга"</t>
  </si>
  <si>
    <t>_______________________________</t>
  </si>
  <si>
    <t>Наименование сметных затрат</t>
  </si>
  <si>
    <t>Итого сумма расходов в год</t>
  </si>
  <si>
    <t>Канцтовары , ксерокопии</t>
  </si>
  <si>
    <t>"____"______________20____год</t>
  </si>
  <si>
    <t>№</t>
  </si>
  <si>
    <t>Наименование расходов</t>
  </si>
  <si>
    <t>Зарплата управляющего</t>
  </si>
  <si>
    <t>Зарплата главного бухгалтера</t>
  </si>
  <si>
    <t>сумма расходов в год</t>
  </si>
  <si>
    <t>Страховые взносы (30,2%)</t>
  </si>
  <si>
    <t>ИТОГО ОПЛАТА ТРУДА</t>
  </si>
  <si>
    <t>Дом 6Б</t>
  </si>
  <si>
    <t>Дом 6В</t>
  </si>
  <si>
    <t>Дом 7А</t>
  </si>
  <si>
    <t>Дом 8</t>
  </si>
  <si>
    <t>Всего квартир</t>
  </si>
  <si>
    <t>Площадь,  кв.м</t>
  </si>
  <si>
    <t>ИТОГО ОПЛАТА ТРУДА С ВЗНОСАМИ</t>
  </si>
  <si>
    <t xml:space="preserve">Ведение банковского счета </t>
  </si>
  <si>
    <t xml:space="preserve">1.Размер обязательного платежа (взноса) на содержание общего имущества </t>
  </si>
  <si>
    <t>1.3 Прочие расходы, в том числе:</t>
  </si>
  <si>
    <t>2.Расходы на оплату коммунальных услуг</t>
  </si>
  <si>
    <t>2.1</t>
  </si>
  <si>
    <t>Электроснабжение инд.счетчики</t>
  </si>
  <si>
    <t>2.2</t>
  </si>
  <si>
    <t>Водопотребление инд.счетчики</t>
  </si>
  <si>
    <t>наименование</t>
  </si>
  <si>
    <t>2.3</t>
  </si>
  <si>
    <t>2.4</t>
  </si>
  <si>
    <t>Водопотребление узел учета (по  факту)</t>
  </si>
  <si>
    <t>Электроснабжение  узел учета  (по  факту)</t>
  </si>
  <si>
    <t>Общая плошадь всех домов (кв.м.), в том числе :</t>
  </si>
  <si>
    <t>Организация обеспечения оказания услуг и выполнении работ по надлежащему содержанию общего имущества (управление)</t>
  </si>
  <si>
    <t>(Оплата труда в бухгалтерском учете ТСЖ"Радуга") :</t>
  </si>
  <si>
    <t>Зарплата сантехника</t>
  </si>
  <si>
    <t>Обслуживание ГИС ЖКХ</t>
  </si>
  <si>
    <t>Содержание офиса(электроэнергия,отопление)</t>
  </si>
  <si>
    <t>Телефонная связь</t>
  </si>
  <si>
    <t>Грейдер</t>
  </si>
  <si>
    <t xml:space="preserve">8 дом </t>
  </si>
  <si>
    <t>Текущий ремонт на 2019 год</t>
  </si>
  <si>
    <t>7 дом</t>
  </si>
  <si>
    <t xml:space="preserve"> 6 дом</t>
  </si>
  <si>
    <t>Реконструкция КНС</t>
  </si>
  <si>
    <t>Приобретение резервного насоса на КНС</t>
  </si>
  <si>
    <t>ОБЩАЯ</t>
  </si>
  <si>
    <t>Косметический ремонт тамбура( три подъезда)</t>
  </si>
  <si>
    <t>Установка тепловой завесы (три подъезда)</t>
  </si>
  <si>
    <t>Покраска оголовников вентиляционных шахт</t>
  </si>
  <si>
    <t>Замена задвижек,кранов,соединений труб, узлов учета,двух вводов</t>
  </si>
  <si>
    <t>Частичный ремонт  системы сбора воды с крыши</t>
  </si>
  <si>
    <t>Размер обязательного платежа (взноса) на содержание общего имущества и коммунальные услуги  на период с 01.01.19 по 31.12.2019 г.</t>
  </si>
  <si>
    <t>Электрик</t>
  </si>
  <si>
    <t>Судебные издержки(взыскание платы за  ЖКУ)</t>
  </si>
  <si>
    <t>Согласно постановления правительства № 354 от 06.05.2011 г. начисления оплаты за услуги водоснабжения,канализации,отопления и электроэнергии МОП будут производиться согласно показаний общедомовых счетчиков.</t>
  </si>
  <si>
    <t>Примечание:В Смету ТСЖ"Радуга" на 2019 г. не включены следующие виды непредвиденных расходов, которые невозможно заранее предусмотреть : штрафы,пени,неустойки и (или) иные санкции , расходы на получение технической документации, расходы на проведение экспертиз и др. Также не внесены затраты на повышение услуг по договорам (так как неизвестны сроки и суммы повышений, факты не зависящие от ТСЖ).</t>
  </si>
  <si>
    <t>Электронная отчетность в налоговые органы</t>
  </si>
  <si>
    <t>Сопровождение бухгалтерской программы</t>
  </si>
  <si>
    <t>Программа бухгалтерская 1С "Учет в управляющих компаниях "</t>
  </si>
  <si>
    <t>Подписка на журнал" Управление МКД"</t>
  </si>
  <si>
    <t>Обслуживание шлагбаума</t>
  </si>
  <si>
    <t>Фонд заработной платы (включая отчисления в Пенсионный фонд, ФСС) управляющего</t>
  </si>
  <si>
    <t>Фонд заработной платы  (включая отчисления в Пенсионный фонд, ФСС)бухгалтера</t>
  </si>
  <si>
    <t>Фонд заработной платы  (включая отчисления в Пенсионный фонд, ФСС)сантехника</t>
  </si>
  <si>
    <t>Фонд заработной платы (включая отчисления в Пенсионный фонд, ФСС) электриков</t>
  </si>
  <si>
    <r>
      <t xml:space="preserve">1.1 </t>
    </r>
    <r>
      <rPr>
        <b/>
        <sz val="11"/>
        <color theme="1"/>
        <rFont val="Calibri"/>
        <family val="2"/>
        <charset val="204"/>
        <scheme val="minor"/>
      </rPr>
      <t>Организация обеспечения оказания услуг и выполнении работ по надлежащему содержанию общего имущества (управление)</t>
    </r>
    <r>
      <rPr>
        <sz val="11"/>
        <color theme="1"/>
        <rFont val="Calibri"/>
        <family val="2"/>
        <charset val="204"/>
        <scheme val="minor"/>
      </rPr>
      <t xml:space="preserve">, в том числе: </t>
    </r>
  </si>
  <si>
    <t>1.2 Эксплуатация инженерных сетей и коммуникаций (согласно совместного протокола распределения расходовс ТСЖ "Тарра"), в том числе :</t>
  </si>
  <si>
    <t>Техническое обслуживание трансформаторной подстанции  (13263,89 руб.*4 квартала)</t>
  </si>
  <si>
    <t xml:space="preserve">Техобслуживание газовых сетей  (15212,11 руб. в год)                                             </t>
  </si>
  <si>
    <t>Наименование работ</t>
  </si>
  <si>
    <t xml:space="preserve">Тариф для дома 8 в месяц </t>
  </si>
  <si>
    <t>Тариф для дома 7 в месяц</t>
  </si>
  <si>
    <t xml:space="preserve">Тариф для дома 6  в месяц </t>
  </si>
  <si>
    <t>Справочно</t>
  </si>
  <si>
    <t>1.5 Текущий ремонт для дома 7, в том числе :</t>
  </si>
  <si>
    <t>1.4 Текущий ремонт для дома 8, в том числе :</t>
  </si>
  <si>
    <t>1.6 Текущий ремонт для дома 6,  в том числе:</t>
  </si>
  <si>
    <t>1.7 Вывоз бытовых отходов</t>
  </si>
  <si>
    <t>1.8 Санитарное содержание общего имущества и прилегающей территории (д.7А, д.8)</t>
  </si>
  <si>
    <t>1.9 Санитарное содержание общего имущества  прилегающей территории ( д. 7А, д.8, д. 6б,в)</t>
  </si>
  <si>
    <t>1.10 Обслуживание КНС только для  дома № 8</t>
  </si>
  <si>
    <t>Обслуживание КНС № 1 (квартал Парк Кенша)</t>
  </si>
  <si>
    <t>Обучение электрохозяйству</t>
  </si>
  <si>
    <t>Ответственный за электрохозяйство</t>
  </si>
  <si>
    <t>Начисленная зарплата в месяц</t>
  </si>
  <si>
    <t>Заработная плата без НДФЛ</t>
  </si>
  <si>
    <t>Отпускные управляющего, бухгалтера, сантехника (34500+20700+14150+10000+5900)</t>
  </si>
  <si>
    <t>Техническое обслуживание домофона(20 руб.*31 кв.) для дома 8. Расчет с каждой квартиры по 20р.</t>
  </si>
  <si>
    <t>Техническое обслуживание домофона(20 руб.*17 кв.) для дома 7.Расчет с каждой квартиры по 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</si>
</sst>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0" fontId="0" fillId="0" borderId="1" xfId="0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0" xfId="0" applyNumberFormat="1" applyFont="1"/>
    <xf numFmtId="0" fontId="3" fillId="0" borderId="0" xfId="0" applyFont="1" applyBorder="1" applyAlignment="1">
      <alignment vertical="center" wrapText="1"/>
    </xf>
    <xf numFmtId="2" fontId="5" fillId="0" borderId="0" xfId="0" applyNumberFormat="1" applyFont="1" applyBorder="1" applyAlignment="1"/>
    <xf numFmtId="0" fontId="4" fillId="3" borderId="0" xfId="0" applyFont="1" applyFill="1" applyBorder="1" applyAlignment="1"/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/>
    <xf numFmtId="4" fontId="1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4" fontId="10" fillId="0" borderId="0" xfId="0" applyNumberFormat="1" applyFont="1" applyAlignment="1">
      <alignment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2" fontId="9" fillId="3" borderId="8" xfId="0" applyNumberFormat="1" applyFont="1" applyFill="1" applyBorder="1" applyAlignment="1">
      <alignment horizontal="center" vertical="center" wrapText="1"/>
    </xf>
    <xf numFmtId="2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0" fillId="0" borderId="5" xfId="0" applyNumberFormat="1" applyFill="1" applyBorder="1" applyAlignment="1">
      <alignment horizontal="center" wrapText="1"/>
    </xf>
    <xf numFmtId="4" fontId="0" fillId="0" borderId="6" xfId="0" applyNumberFormat="1" applyFill="1" applyBorder="1" applyAlignment="1">
      <alignment horizontal="center" wrapText="1"/>
    </xf>
    <xf numFmtId="4" fontId="0" fillId="0" borderId="4" xfId="0" applyNumberForma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01"/>
  <sheetViews>
    <sheetView tabSelected="1" topLeftCell="A23" workbookViewId="0">
      <selection activeCell="B31" sqref="B31:F31"/>
    </sheetView>
  </sheetViews>
  <sheetFormatPr defaultRowHeight="12" x14ac:dyDescent="0.2"/>
  <cols>
    <col min="1" max="1" width="2.28515625" style="1" customWidth="1"/>
    <col min="2" max="2" width="9.140625" style="1"/>
    <col min="3" max="4" width="9.140625" style="1" customWidth="1"/>
    <col min="5" max="5" width="9.140625" style="1"/>
    <col min="6" max="6" width="51.5703125" style="1" customWidth="1"/>
    <col min="7" max="7" width="10.85546875" style="1" customWidth="1"/>
    <col min="8" max="8" width="14.5703125" style="1" customWidth="1"/>
    <col min="9" max="9" width="11.85546875" style="1" customWidth="1"/>
    <col min="10" max="10" width="11.28515625" style="1" customWidth="1"/>
    <col min="11" max="11" width="13.140625" style="1" customWidth="1"/>
    <col min="12" max="12" width="9.140625" style="1"/>
    <col min="13" max="13" width="10" style="1" bestFit="1" customWidth="1"/>
    <col min="14" max="16384" width="9.140625" style="1"/>
  </cols>
  <sheetData>
    <row r="3" spans="2:13" ht="5.25" customHeight="1" x14ac:dyDescent="0.2"/>
    <row r="4" spans="2:13" ht="18.75" x14ac:dyDescent="0.3">
      <c r="F4" s="2"/>
      <c r="G4" s="43" t="s">
        <v>0</v>
      </c>
      <c r="H4" s="43"/>
      <c r="I4" s="15"/>
      <c r="J4" s="15"/>
    </row>
    <row r="5" spans="2:13" ht="5.25" customHeight="1" x14ac:dyDescent="0.3">
      <c r="G5" s="15"/>
      <c r="H5" s="15"/>
      <c r="I5" s="15"/>
      <c r="J5" s="15"/>
    </row>
    <row r="6" spans="2:13" ht="10.5" customHeight="1" x14ac:dyDescent="0.3">
      <c r="G6" s="15" t="s">
        <v>1</v>
      </c>
      <c r="H6" s="15"/>
      <c r="I6" s="15"/>
      <c r="J6" s="15"/>
    </row>
    <row r="7" spans="2:13" ht="18.75" x14ac:dyDescent="0.3">
      <c r="G7" s="15" t="s">
        <v>5</v>
      </c>
      <c r="H7" s="15"/>
      <c r="I7" s="15"/>
      <c r="J7" s="15"/>
    </row>
    <row r="8" spans="2:13" ht="8.25" customHeight="1" x14ac:dyDescent="0.2">
      <c r="G8" s="42"/>
      <c r="H8" s="42"/>
      <c r="I8" s="42"/>
    </row>
    <row r="9" spans="2:13" s="2" customFormat="1" ht="21" customHeight="1" x14ac:dyDescent="0.2">
      <c r="B9" s="120" t="s">
        <v>53</v>
      </c>
      <c r="C9" s="120"/>
      <c r="D9" s="120"/>
      <c r="E9" s="120"/>
      <c r="F9" s="120"/>
      <c r="G9" s="120"/>
      <c r="H9" s="120"/>
      <c r="I9" s="120"/>
      <c r="J9" s="120"/>
      <c r="K9" s="120"/>
    </row>
    <row r="10" spans="2:13" s="2" customFormat="1" ht="15" customHeight="1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</row>
    <row r="11" spans="2:13" s="2" customFormat="1" ht="9.75" customHeight="1" x14ac:dyDescent="0.2"/>
    <row r="12" spans="2:13" s="28" customFormat="1" ht="66" customHeight="1" x14ac:dyDescent="0.25">
      <c r="B12" s="99" t="s">
        <v>2</v>
      </c>
      <c r="C12" s="99"/>
      <c r="D12" s="99"/>
      <c r="E12" s="99"/>
      <c r="F12" s="99"/>
      <c r="G12" s="27" t="s">
        <v>18</v>
      </c>
      <c r="H12" s="27" t="s">
        <v>3</v>
      </c>
      <c r="I12" s="27" t="s">
        <v>72</v>
      </c>
      <c r="J12" s="27" t="s">
        <v>73</v>
      </c>
      <c r="K12" s="27" t="s">
        <v>74</v>
      </c>
    </row>
    <row r="13" spans="2:13" s="28" customFormat="1" ht="24.75" customHeight="1" x14ac:dyDescent="0.25">
      <c r="B13" s="121" t="s">
        <v>21</v>
      </c>
      <c r="C13" s="122"/>
      <c r="D13" s="122"/>
      <c r="E13" s="122"/>
      <c r="F13" s="122"/>
      <c r="G13" s="122"/>
      <c r="H13" s="122"/>
      <c r="I13" s="122"/>
      <c r="J13" s="122"/>
      <c r="K13" s="122"/>
    </row>
    <row r="14" spans="2:13" s="29" customFormat="1" ht="41.25" customHeight="1" x14ac:dyDescent="0.25">
      <c r="B14" s="100" t="s">
        <v>67</v>
      </c>
      <c r="C14" s="100"/>
      <c r="D14" s="100"/>
      <c r="E14" s="100"/>
      <c r="F14" s="100"/>
      <c r="G14" s="46">
        <v>7089.2</v>
      </c>
      <c r="H14" s="47">
        <f>H15+H16+H17+H18</f>
        <v>1448019.2999999998</v>
      </c>
      <c r="I14" s="123">
        <f>H14/G14/12</f>
        <v>17.021423432827397</v>
      </c>
      <c r="J14" s="123">
        <f>H14/G14/12</f>
        <v>17.021423432827397</v>
      </c>
      <c r="K14" s="123">
        <f>H14/G14/12</f>
        <v>17.021423432827397</v>
      </c>
      <c r="M14" s="33"/>
    </row>
    <row r="15" spans="2:13" s="29" customFormat="1" ht="32.25" customHeight="1" x14ac:dyDescent="0.25">
      <c r="B15" s="95" t="s">
        <v>63</v>
      </c>
      <c r="C15" s="96"/>
      <c r="D15" s="96"/>
      <c r="E15" s="96"/>
      <c r="F15" s="97"/>
      <c r="G15" s="116"/>
      <c r="H15" s="48">
        <f>(34500*13)+((34500*13)*30.2%)</f>
        <v>583947</v>
      </c>
      <c r="I15" s="123"/>
      <c r="J15" s="123"/>
      <c r="K15" s="123"/>
    </row>
    <row r="16" spans="2:13" s="29" customFormat="1" ht="18.75" customHeight="1" x14ac:dyDescent="0.25">
      <c r="B16" s="95" t="s">
        <v>64</v>
      </c>
      <c r="C16" s="96"/>
      <c r="D16" s="96"/>
      <c r="E16" s="96"/>
      <c r="F16" s="97"/>
      <c r="G16" s="117"/>
      <c r="H16" s="48">
        <f>(20700*13)+((20700*13)*30.2%)</f>
        <v>350368.2</v>
      </c>
      <c r="I16" s="123"/>
      <c r="J16" s="123"/>
      <c r="K16" s="123"/>
    </row>
    <row r="17" spans="2:11" s="29" customFormat="1" ht="18" customHeight="1" x14ac:dyDescent="0.25">
      <c r="B17" s="95" t="s">
        <v>65</v>
      </c>
      <c r="C17" s="96"/>
      <c r="D17" s="96"/>
      <c r="E17" s="96"/>
      <c r="F17" s="97"/>
      <c r="G17" s="117"/>
      <c r="H17" s="48">
        <f>(14450*13)+((14450*13)*30.2%)</f>
        <v>244580.7</v>
      </c>
      <c r="I17" s="123"/>
      <c r="J17" s="123"/>
      <c r="K17" s="123"/>
    </row>
    <row r="18" spans="2:11" s="29" customFormat="1" ht="19.5" customHeight="1" x14ac:dyDescent="0.25">
      <c r="B18" s="95" t="s">
        <v>66</v>
      </c>
      <c r="C18" s="96"/>
      <c r="D18" s="96"/>
      <c r="E18" s="96"/>
      <c r="F18" s="97"/>
      <c r="G18" s="118"/>
      <c r="H18" s="48">
        <f>(15900*13)+((15900*13)*30.2%)</f>
        <v>269123.40000000002</v>
      </c>
      <c r="I18" s="123"/>
      <c r="J18" s="123"/>
      <c r="K18" s="123"/>
    </row>
    <row r="19" spans="2:11" s="30" customFormat="1" ht="36" customHeight="1" x14ac:dyDescent="0.25">
      <c r="B19" s="94" t="s">
        <v>68</v>
      </c>
      <c r="C19" s="94"/>
      <c r="D19" s="94"/>
      <c r="E19" s="94"/>
      <c r="F19" s="94"/>
      <c r="G19" s="49">
        <f>G14</f>
        <v>7089.2</v>
      </c>
      <c r="H19" s="50">
        <f>H20+H21</f>
        <v>68267.67</v>
      </c>
      <c r="I19" s="124">
        <f>H19/G19/12</f>
        <v>0.80248441290977823</v>
      </c>
      <c r="J19" s="124">
        <f>H19/G19/12</f>
        <v>0.80248441290977823</v>
      </c>
      <c r="K19" s="124">
        <f>H19/G19/12</f>
        <v>0.80248441290977823</v>
      </c>
    </row>
    <row r="20" spans="2:11" s="30" customFormat="1" ht="30.75" customHeight="1" x14ac:dyDescent="0.25">
      <c r="B20" s="98" t="s">
        <v>69</v>
      </c>
      <c r="C20" s="98"/>
      <c r="D20" s="98"/>
      <c r="E20" s="98"/>
      <c r="F20" s="98"/>
      <c r="G20" s="91"/>
      <c r="H20" s="51">
        <f>13263.89*4</f>
        <v>53055.56</v>
      </c>
      <c r="I20" s="124"/>
      <c r="J20" s="124"/>
      <c r="K20" s="124"/>
    </row>
    <row r="21" spans="2:11" s="30" customFormat="1" ht="18" customHeight="1" x14ac:dyDescent="0.25">
      <c r="B21" s="95" t="s">
        <v>70</v>
      </c>
      <c r="C21" s="96"/>
      <c r="D21" s="96"/>
      <c r="E21" s="96"/>
      <c r="F21" s="97"/>
      <c r="G21" s="92"/>
      <c r="H21" s="51">
        <f>15212.11</f>
        <v>15212.11</v>
      </c>
      <c r="I21" s="124"/>
      <c r="J21" s="124"/>
      <c r="K21" s="124"/>
    </row>
    <row r="22" spans="2:11" s="30" customFormat="1" ht="19.5" customHeight="1" x14ac:dyDescent="0.25">
      <c r="B22" s="94" t="s">
        <v>22</v>
      </c>
      <c r="C22" s="94"/>
      <c r="D22" s="94"/>
      <c r="E22" s="94"/>
      <c r="F22" s="94"/>
      <c r="G22" s="49">
        <f>G14</f>
        <v>7089.2</v>
      </c>
      <c r="H22" s="52">
        <f>SUM(H23:H36)</f>
        <v>228740</v>
      </c>
      <c r="I22" s="116">
        <f>H22/G22/12</f>
        <v>2.6888318381011493</v>
      </c>
      <c r="J22" s="116">
        <f>H22/G22/12</f>
        <v>2.6888318381011493</v>
      </c>
      <c r="K22" s="116">
        <f>H22/G22/12</f>
        <v>2.6888318381011493</v>
      </c>
    </row>
    <row r="23" spans="2:11" s="30" customFormat="1" ht="15" customHeight="1" x14ac:dyDescent="0.25">
      <c r="B23" s="98" t="s">
        <v>60</v>
      </c>
      <c r="C23" s="98"/>
      <c r="D23" s="98"/>
      <c r="E23" s="98"/>
      <c r="F23" s="98"/>
      <c r="G23" s="93"/>
      <c r="H23" s="51">
        <v>21500</v>
      </c>
      <c r="I23" s="117"/>
      <c r="J23" s="117"/>
      <c r="K23" s="117"/>
    </row>
    <row r="24" spans="2:11" s="30" customFormat="1" ht="15" customHeight="1" x14ac:dyDescent="0.25">
      <c r="B24" s="95" t="s">
        <v>59</v>
      </c>
      <c r="C24" s="96"/>
      <c r="D24" s="96"/>
      <c r="E24" s="96"/>
      <c r="F24" s="97"/>
      <c r="G24" s="91"/>
      <c r="H24" s="51">
        <v>7000</v>
      </c>
      <c r="I24" s="117"/>
      <c r="J24" s="117"/>
      <c r="K24" s="117"/>
    </row>
    <row r="25" spans="2:11" s="30" customFormat="1" ht="15" customHeight="1" x14ac:dyDescent="0.25">
      <c r="B25" s="95" t="s">
        <v>58</v>
      </c>
      <c r="C25" s="96"/>
      <c r="D25" s="96"/>
      <c r="E25" s="96"/>
      <c r="F25" s="97"/>
      <c r="G25" s="91"/>
      <c r="H25" s="51">
        <v>4300</v>
      </c>
      <c r="I25" s="117"/>
      <c r="J25" s="117"/>
      <c r="K25" s="117"/>
    </row>
    <row r="26" spans="2:11" s="30" customFormat="1" ht="15" customHeight="1" x14ac:dyDescent="0.25">
      <c r="B26" s="98" t="s">
        <v>37</v>
      </c>
      <c r="C26" s="98"/>
      <c r="D26" s="98"/>
      <c r="E26" s="98"/>
      <c r="F26" s="98"/>
      <c r="G26" s="91"/>
      <c r="H26" s="51">
        <f>4500*12</f>
        <v>54000</v>
      </c>
      <c r="I26" s="117"/>
      <c r="J26" s="117"/>
      <c r="K26" s="117"/>
    </row>
    <row r="27" spans="2:11" s="30" customFormat="1" ht="15" customHeight="1" x14ac:dyDescent="0.25">
      <c r="B27" s="95" t="s">
        <v>61</v>
      </c>
      <c r="C27" s="96"/>
      <c r="D27" s="96"/>
      <c r="E27" s="96"/>
      <c r="F27" s="97"/>
      <c r="G27" s="91"/>
      <c r="H27" s="51">
        <v>5600</v>
      </c>
      <c r="I27" s="117"/>
      <c r="J27" s="117"/>
      <c r="K27" s="117"/>
    </row>
    <row r="28" spans="2:11" s="30" customFormat="1" ht="15" customHeight="1" x14ac:dyDescent="0.25">
      <c r="B28" s="98" t="s">
        <v>39</v>
      </c>
      <c r="C28" s="98"/>
      <c r="D28" s="98"/>
      <c r="E28" s="98"/>
      <c r="F28" s="98"/>
      <c r="G28" s="91"/>
      <c r="H28" s="51">
        <f>500*12</f>
        <v>6000</v>
      </c>
      <c r="I28" s="117"/>
      <c r="J28" s="117"/>
      <c r="K28" s="117"/>
    </row>
    <row r="29" spans="2:11" s="30" customFormat="1" ht="15" customHeight="1" x14ac:dyDescent="0.25">
      <c r="B29" s="98" t="s">
        <v>40</v>
      </c>
      <c r="C29" s="98"/>
      <c r="D29" s="98"/>
      <c r="E29" s="98"/>
      <c r="F29" s="98"/>
      <c r="G29" s="91"/>
      <c r="H29" s="51">
        <v>12000</v>
      </c>
      <c r="I29" s="117"/>
      <c r="J29" s="117"/>
      <c r="K29" s="117"/>
    </row>
    <row r="30" spans="2:11" s="30" customFormat="1" ht="15" customHeight="1" x14ac:dyDescent="0.25">
      <c r="B30" s="98" t="s">
        <v>62</v>
      </c>
      <c r="C30" s="98"/>
      <c r="D30" s="98"/>
      <c r="E30" s="98"/>
      <c r="F30" s="98"/>
      <c r="G30" s="91"/>
      <c r="H30" s="51">
        <v>3500</v>
      </c>
      <c r="I30" s="117"/>
      <c r="J30" s="117"/>
      <c r="K30" s="117"/>
    </row>
    <row r="31" spans="2:11" s="30" customFormat="1" ht="15" customHeight="1" x14ac:dyDescent="0.25">
      <c r="B31" s="98" t="s">
        <v>83</v>
      </c>
      <c r="C31" s="98"/>
      <c r="D31" s="98"/>
      <c r="E31" s="98"/>
      <c r="F31" s="98"/>
      <c r="G31" s="91"/>
      <c r="H31" s="51">
        <v>16800</v>
      </c>
      <c r="I31" s="117"/>
      <c r="J31" s="117"/>
      <c r="K31" s="117"/>
    </row>
    <row r="32" spans="2:11" s="30" customFormat="1" ht="15" customHeight="1" x14ac:dyDescent="0.25">
      <c r="B32" s="98" t="s">
        <v>38</v>
      </c>
      <c r="C32" s="98"/>
      <c r="D32" s="98"/>
      <c r="E32" s="98"/>
      <c r="F32" s="98"/>
      <c r="G32" s="91"/>
      <c r="H32" s="51">
        <f>(2500*12)+4500</f>
        <v>34500</v>
      </c>
      <c r="I32" s="117"/>
      <c r="J32" s="117"/>
      <c r="K32" s="117"/>
    </row>
    <row r="33" spans="2:11" s="30" customFormat="1" ht="16.5" customHeight="1" x14ac:dyDescent="0.25">
      <c r="B33" s="98" t="s">
        <v>20</v>
      </c>
      <c r="C33" s="98"/>
      <c r="D33" s="98"/>
      <c r="E33" s="98"/>
      <c r="F33" s="98"/>
      <c r="G33" s="91"/>
      <c r="H33" s="51">
        <v>30000</v>
      </c>
      <c r="I33" s="117"/>
      <c r="J33" s="117"/>
      <c r="K33" s="117"/>
    </row>
    <row r="34" spans="2:11" s="30" customFormat="1" ht="15" customHeight="1" x14ac:dyDescent="0.25">
      <c r="B34" s="98" t="s">
        <v>4</v>
      </c>
      <c r="C34" s="98"/>
      <c r="D34" s="98"/>
      <c r="E34" s="98"/>
      <c r="F34" s="98"/>
      <c r="G34" s="91"/>
      <c r="H34" s="51">
        <v>8000</v>
      </c>
      <c r="I34" s="117"/>
      <c r="J34" s="117"/>
      <c r="K34" s="117"/>
    </row>
    <row r="35" spans="2:11" s="30" customFormat="1" ht="15" customHeight="1" x14ac:dyDescent="0.25">
      <c r="B35" s="98" t="s">
        <v>84</v>
      </c>
      <c r="C35" s="98"/>
      <c r="D35" s="98"/>
      <c r="E35" s="98"/>
      <c r="F35" s="98"/>
      <c r="G35" s="91"/>
      <c r="H35" s="51">
        <f>3770*2</f>
        <v>7540</v>
      </c>
      <c r="I35" s="117"/>
      <c r="J35" s="117"/>
      <c r="K35" s="117"/>
    </row>
    <row r="36" spans="2:11" s="30" customFormat="1" ht="15" customHeight="1" x14ac:dyDescent="0.25">
      <c r="B36" s="98" t="s">
        <v>55</v>
      </c>
      <c r="C36" s="98"/>
      <c r="D36" s="98"/>
      <c r="E36" s="98"/>
      <c r="F36" s="98"/>
      <c r="G36" s="92"/>
      <c r="H36" s="51">
        <v>18000</v>
      </c>
      <c r="I36" s="118"/>
      <c r="J36" s="118"/>
      <c r="K36" s="118"/>
    </row>
    <row r="37" spans="2:11" s="30" customFormat="1" ht="40.5" customHeight="1" x14ac:dyDescent="0.25">
      <c r="B37" s="86" t="s">
        <v>89</v>
      </c>
      <c r="C37" s="87"/>
      <c r="D37" s="87"/>
      <c r="E37" s="87"/>
      <c r="F37" s="88"/>
      <c r="G37" s="67"/>
      <c r="H37" s="51">
        <f>(20*31)*12</f>
        <v>7440</v>
      </c>
      <c r="I37" s="74">
        <v>0</v>
      </c>
      <c r="J37" s="75"/>
      <c r="K37" s="76"/>
    </row>
    <row r="38" spans="2:11" s="30" customFormat="1" ht="35.25" customHeight="1" x14ac:dyDescent="0.25">
      <c r="B38" s="86" t="s">
        <v>90</v>
      </c>
      <c r="C38" s="87"/>
      <c r="D38" s="87"/>
      <c r="E38" s="87"/>
      <c r="F38" s="88"/>
      <c r="G38" s="67"/>
      <c r="H38" s="51">
        <f>(17*20)*12</f>
        <v>4080</v>
      </c>
      <c r="I38" s="77"/>
      <c r="J38" s="78"/>
      <c r="K38" s="79"/>
    </row>
    <row r="39" spans="2:11" s="30" customFormat="1" ht="22.5" customHeight="1" x14ac:dyDescent="0.25">
      <c r="B39" s="94" t="s">
        <v>77</v>
      </c>
      <c r="C39" s="94"/>
      <c r="D39" s="94"/>
      <c r="E39" s="94"/>
      <c r="F39" s="94"/>
      <c r="G39" s="53">
        <v>1864</v>
      </c>
      <c r="H39" s="54">
        <f>H40</f>
        <v>170000</v>
      </c>
      <c r="I39" s="116">
        <f>H39/G39/12</f>
        <v>7.6001430615164516</v>
      </c>
      <c r="J39" s="93">
        <v>0</v>
      </c>
      <c r="K39" s="93">
        <v>0</v>
      </c>
    </row>
    <row r="40" spans="2:11" s="30" customFormat="1" ht="18" customHeight="1" x14ac:dyDescent="0.25">
      <c r="B40" s="95" t="s">
        <v>45</v>
      </c>
      <c r="C40" s="96"/>
      <c r="D40" s="96"/>
      <c r="E40" s="96"/>
      <c r="F40" s="97"/>
      <c r="G40" s="56"/>
      <c r="H40" s="55">
        <v>170000</v>
      </c>
      <c r="I40" s="118"/>
      <c r="J40" s="92"/>
      <c r="K40" s="92"/>
    </row>
    <row r="41" spans="2:11" s="30" customFormat="1" ht="22.5" customHeight="1" x14ac:dyDescent="0.25">
      <c r="B41" s="94" t="s">
        <v>76</v>
      </c>
      <c r="C41" s="94"/>
      <c r="D41" s="94"/>
      <c r="E41" s="94"/>
      <c r="F41" s="94"/>
      <c r="G41" s="57">
        <v>1436.8</v>
      </c>
      <c r="H41" s="58">
        <f>H42+H43</f>
        <v>52400</v>
      </c>
      <c r="I41" s="93">
        <v>0</v>
      </c>
      <c r="J41" s="116">
        <f>H41/G41/12</f>
        <v>3.0391610987379365</v>
      </c>
      <c r="K41" s="116">
        <v>0</v>
      </c>
    </row>
    <row r="42" spans="2:11" s="30" customFormat="1" ht="22.5" customHeight="1" x14ac:dyDescent="0.25">
      <c r="B42" s="95" t="s">
        <v>48</v>
      </c>
      <c r="C42" s="96"/>
      <c r="D42" s="96"/>
      <c r="E42" s="96"/>
      <c r="F42" s="97"/>
      <c r="G42" s="89"/>
      <c r="H42" s="69">
        <v>37500</v>
      </c>
      <c r="I42" s="91"/>
      <c r="J42" s="117"/>
      <c r="K42" s="117"/>
    </row>
    <row r="43" spans="2:11" s="30" customFormat="1" ht="22.5" customHeight="1" x14ac:dyDescent="0.25">
      <c r="B43" s="95" t="s">
        <v>49</v>
      </c>
      <c r="C43" s="96"/>
      <c r="D43" s="96"/>
      <c r="E43" s="96"/>
      <c r="F43" s="97"/>
      <c r="G43" s="90"/>
      <c r="H43" s="69">
        <v>14900</v>
      </c>
      <c r="I43" s="91"/>
      <c r="J43" s="117"/>
      <c r="K43" s="117"/>
    </row>
    <row r="44" spans="2:11" s="30" customFormat="1" ht="22.5" customHeight="1" x14ac:dyDescent="0.25">
      <c r="B44" s="94" t="s">
        <v>78</v>
      </c>
      <c r="C44" s="94"/>
      <c r="D44" s="94"/>
      <c r="E44" s="94"/>
      <c r="F44" s="94"/>
      <c r="G44" s="57">
        <f>D80+D81</f>
        <v>3788.3999999999996</v>
      </c>
      <c r="H44" s="58">
        <f>H45+H46+H47</f>
        <v>120000</v>
      </c>
      <c r="I44" s="93">
        <v>0</v>
      </c>
      <c r="J44" s="116">
        <v>0</v>
      </c>
      <c r="K44" s="116">
        <f>H44/G44/12</f>
        <v>2.6396367859782495</v>
      </c>
    </row>
    <row r="45" spans="2:11" s="30" customFormat="1" ht="22.5" customHeight="1" x14ac:dyDescent="0.25">
      <c r="B45" s="95" t="s">
        <v>50</v>
      </c>
      <c r="C45" s="96"/>
      <c r="D45" s="96"/>
      <c r="E45" s="96"/>
      <c r="F45" s="97"/>
      <c r="G45" s="57"/>
      <c r="H45" s="69">
        <v>25000</v>
      </c>
      <c r="I45" s="91"/>
      <c r="J45" s="117"/>
      <c r="K45" s="117"/>
    </row>
    <row r="46" spans="2:11" s="30" customFormat="1" ht="22.5" customHeight="1" x14ac:dyDescent="0.25">
      <c r="B46" s="95" t="s">
        <v>51</v>
      </c>
      <c r="C46" s="96"/>
      <c r="D46" s="96"/>
      <c r="E46" s="96"/>
      <c r="F46" s="97"/>
      <c r="G46" s="57"/>
      <c r="H46" s="69">
        <v>55000</v>
      </c>
      <c r="I46" s="91"/>
      <c r="J46" s="117"/>
      <c r="K46" s="117"/>
    </row>
    <row r="47" spans="2:11" s="30" customFormat="1" ht="22.5" customHeight="1" x14ac:dyDescent="0.25">
      <c r="B47" s="95" t="s">
        <v>52</v>
      </c>
      <c r="C47" s="96"/>
      <c r="D47" s="96"/>
      <c r="E47" s="96"/>
      <c r="F47" s="97"/>
      <c r="G47" s="57"/>
      <c r="H47" s="69">
        <v>40000</v>
      </c>
      <c r="I47" s="92"/>
      <c r="J47" s="118"/>
      <c r="K47" s="118"/>
    </row>
    <row r="48" spans="2:11" s="30" customFormat="1" ht="21" customHeight="1" x14ac:dyDescent="0.25">
      <c r="B48" s="94" t="s">
        <v>79</v>
      </c>
      <c r="C48" s="94"/>
      <c r="D48" s="94"/>
      <c r="E48" s="94"/>
      <c r="F48" s="94"/>
      <c r="G48" s="57">
        <v>7089.2</v>
      </c>
      <c r="H48" s="51">
        <f>(9*1940.8)*12</f>
        <v>209606.40000000002</v>
      </c>
      <c r="I48" s="66">
        <f>H48/G48/12</f>
        <v>2.4639169440839592</v>
      </c>
      <c r="J48" s="66">
        <f>H48/G48/12</f>
        <v>2.4639169440839592</v>
      </c>
      <c r="K48" s="66">
        <f>H48/G48/12</f>
        <v>2.4639169440839592</v>
      </c>
    </row>
    <row r="49" spans="2:11" s="30" customFormat="1" ht="33.75" customHeight="1" x14ac:dyDescent="0.25">
      <c r="B49" s="94" t="s">
        <v>80</v>
      </c>
      <c r="C49" s="94"/>
      <c r="D49" s="94"/>
      <c r="E49" s="94"/>
      <c r="F49" s="94"/>
      <c r="G49" s="53">
        <v>3300.8</v>
      </c>
      <c r="H49" s="59">
        <f>37036*12</f>
        <v>444432</v>
      </c>
      <c r="I49" s="66">
        <f>H49/G49/12</f>
        <v>11.220310227823559</v>
      </c>
      <c r="J49" s="66">
        <f>H49/G49/12</f>
        <v>11.220310227823559</v>
      </c>
      <c r="K49" s="66">
        <v>0</v>
      </c>
    </row>
    <row r="50" spans="2:11" s="30" customFormat="1" ht="30.75" customHeight="1" x14ac:dyDescent="0.25">
      <c r="B50" s="94" t="s">
        <v>81</v>
      </c>
      <c r="C50" s="94"/>
      <c r="D50" s="94"/>
      <c r="E50" s="94"/>
      <c r="F50" s="94"/>
      <c r="G50" s="53">
        <v>7089.2</v>
      </c>
      <c r="H50" s="59">
        <f>1520*12</f>
        <v>18240</v>
      </c>
      <c r="I50" s="66">
        <f>H50/G50/12</f>
        <v>0.21441065282401398</v>
      </c>
      <c r="J50" s="66">
        <f>H50/G50/12</f>
        <v>0.21441065282401398</v>
      </c>
      <c r="K50" s="66">
        <f>H50/G50/12</f>
        <v>0.21441065282401398</v>
      </c>
    </row>
    <row r="51" spans="2:11" s="30" customFormat="1" ht="30.75" customHeight="1" x14ac:dyDescent="0.25">
      <c r="B51" s="94" t="s">
        <v>82</v>
      </c>
      <c r="C51" s="94"/>
      <c r="D51" s="94"/>
      <c r="E51" s="94"/>
      <c r="F51" s="94"/>
      <c r="G51" s="53">
        <v>1864</v>
      </c>
      <c r="H51" s="60">
        <f>2000*12</f>
        <v>24000</v>
      </c>
      <c r="I51" s="66">
        <f>H51/G51/12</f>
        <v>1.0729613733905581</v>
      </c>
      <c r="J51" s="70">
        <v>0</v>
      </c>
      <c r="K51" s="70">
        <v>0</v>
      </c>
    </row>
    <row r="52" spans="2:11" s="30" customFormat="1" ht="15.75" x14ac:dyDescent="0.25">
      <c r="B52" s="103"/>
      <c r="C52" s="103"/>
      <c r="D52" s="103"/>
      <c r="E52" s="103"/>
      <c r="F52" s="103"/>
      <c r="G52" s="22"/>
      <c r="H52" s="73">
        <f>H14+H19+H22+H37+H38+H39+H41+H44+H48+H49+H50+H51</f>
        <v>2795225.3699999996</v>
      </c>
      <c r="I52" s="11">
        <f>SUM(I14:I51)</f>
        <v>43.08448194347686</v>
      </c>
      <c r="J52" s="11">
        <f>SUM(J14:J51)</f>
        <v>37.450538607307791</v>
      </c>
      <c r="K52" s="11">
        <f>SUM(K14:K51)</f>
        <v>25.830704066724547</v>
      </c>
    </row>
    <row r="53" spans="2:11" s="30" customFormat="1" ht="15.75" x14ac:dyDescent="0.25">
      <c r="B53" s="13"/>
      <c r="C53" s="13"/>
      <c r="D53" s="13"/>
      <c r="E53" s="13"/>
      <c r="F53" s="13"/>
      <c r="G53" s="22"/>
      <c r="H53" s="61"/>
      <c r="I53" s="69">
        <f>I52*D83</f>
        <v>80309.474342640868</v>
      </c>
      <c r="J53" s="69">
        <f>J52*D82</f>
        <v>53808.933870979832</v>
      </c>
      <c r="K53" s="69">
        <f>K52*(D80+D81)</f>
        <v>97857.039286379266</v>
      </c>
    </row>
    <row r="54" spans="2:11" s="30" customFormat="1" ht="15.75" x14ac:dyDescent="0.25">
      <c r="B54" s="68"/>
      <c r="C54" s="68"/>
      <c r="D54" s="68"/>
      <c r="E54" s="68"/>
      <c r="F54" s="68"/>
      <c r="G54" s="22"/>
      <c r="H54" s="61"/>
      <c r="I54" s="69">
        <f>I53*12</f>
        <v>963713.69211169041</v>
      </c>
      <c r="J54" s="69">
        <f>J53*12</f>
        <v>645707.20645175804</v>
      </c>
      <c r="K54" s="69">
        <f>K53*12</f>
        <v>1174284.4714365513</v>
      </c>
    </row>
    <row r="55" spans="2:11" s="30" customFormat="1" ht="15.75" x14ac:dyDescent="0.25">
      <c r="B55" s="13"/>
      <c r="C55" s="13"/>
      <c r="D55" s="13"/>
      <c r="E55" s="13"/>
      <c r="F55" s="13"/>
      <c r="G55" s="22"/>
      <c r="H55" s="61"/>
      <c r="I55" s="119">
        <f>(I53+J53+K53)*12</f>
        <v>2783705.3699999996</v>
      </c>
      <c r="J55" s="119"/>
      <c r="K55" s="119"/>
    </row>
    <row r="56" spans="2:11" s="30" customFormat="1" ht="15.75" x14ac:dyDescent="0.25">
      <c r="B56" s="68"/>
      <c r="C56" s="68"/>
      <c r="D56" s="68"/>
      <c r="E56" s="68"/>
      <c r="F56" s="68"/>
      <c r="G56" s="22"/>
      <c r="H56" s="61"/>
      <c r="I56" s="80">
        <f>H37+H38</f>
        <v>11520</v>
      </c>
      <c r="J56" s="81"/>
      <c r="K56" s="82"/>
    </row>
    <row r="57" spans="2:11" s="30" customFormat="1" ht="15.75" x14ac:dyDescent="0.25">
      <c r="B57" s="68"/>
      <c r="C57" s="68"/>
      <c r="D57" s="68"/>
      <c r="E57" s="68"/>
      <c r="F57" s="68"/>
      <c r="G57" s="22"/>
      <c r="H57" s="61"/>
      <c r="I57" s="83">
        <f>I55+I56</f>
        <v>2795225.3699999996</v>
      </c>
      <c r="J57" s="84"/>
      <c r="K57" s="85"/>
    </row>
    <row r="58" spans="2:11" s="30" customFormat="1" ht="18.75" x14ac:dyDescent="0.25">
      <c r="B58" s="68"/>
      <c r="C58" s="68"/>
      <c r="D58" s="68"/>
      <c r="E58" s="68"/>
      <c r="F58" s="68"/>
      <c r="G58" s="22"/>
      <c r="H58" s="61"/>
      <c r="I58" s="72"/>
      <c r="J58" s="72"/>
      <c r="K58" s="72"/>
    </row>
    <row r="59" spans="2:11" s="30" customFormat="1" ht="17.25" x14ac:dyDescent="0.25">
      <c r="B59" s="13"/>
      <c r="C59" s="13"/>
      <c r="D59" s="13"/>
      <c r="E59" s="13"/>
      <c r="F59" s="13"/>
      <c r="G59" s="14"/>
      <c r="H59" s="44"/>
      <c r="I59" s="45"/>
      <c r="J59" s="45"/>
      <c r="K59" s="45"/>
    </row>
    <row r="60" spans="2:11" s="30" customFormat="1" ht="15" x14ac:dyDescent="0.25">
      <c r="B60" s="13"/>
      <c r="C60" s="13"/>
      <c r="D60" s="13"/>
      <c r="E60" s="13"/>
      <c r="F60" s="13"/>
      <c r="G60" s="14"/>
      <c r="H60" s="26"/>
      <c r="I60" s="41"/>
      <c r="J60" s="41"/>
      <c r="K60" s="41"/>
    </row>
    <row r="61" spans="2:11" s="30" customFormat="1" ht="15" x14ac:dyDescent="0.25">
      <c r="B61" s="13"/>
      <c r="C61" s="13"/>
      <c r="D61" s="13"/>
      <c r="E61" s="13"/>
      <c r="F61" s="13"/>
      <c r="G61" s="14"/>
      <c r="H61" s="26"/>
      <c r="I61" s="41"/>
      <c r="J61" s="41"/>
      <c r="K61" s="41"/>
    </row>
    <row r="62" spans="2:11" s="30" customFormat="1" ht="15" x14ac:dyDescent="0.25">
      <c r="B62" s="13"/>
      <c r="C62" s="13"/>
      <c r="D62" s="13"/>
      <c r="E62" s="13"/>
      <c r="F62" s="13"/>
      <c r="G62" s="14"/>
      <c r="H62" s="26"/>
      <c r="I62" s="41"/>
      <c r="J62" s="41"/>
      <c r="K62" s="41"/>
    </row>
    <row r="63" spans="2:11" s="30" customFormat="1" ht="15" x14ac:dyDescent="0.25">
      <c r="B63" s="13"/>
      <c r="C63" s="13"/>
      <c r="D63" s="13"/>
      <c r="E63" s="13"/>
      <c r="F63" s="13"/>
      <c r="G63" s="14"/>
      <c r="H63" s="26"/>
      <c r="I63" s="41"/>
      <c r="J63" s="41"/>
      <c r="K63" s="41"/>
    </row>
    <row r="64" spans="2:11" s="30" customFormat="1" ht="15" x14ac:dyDescent="0.25">
      <c r="B64" s="13"/>
      <c r="C64" s="13"/>
      <c r="D64" s="13"/>
      <c r="E64" s="13"/>
      <c r="F64" s="13"/>
      <c r="G64" s="14"/>
      <c r="H64" s="26"/>
      <c r="I64" s="41"/>
      <c r="J64" s="41"/>
      <c r="K64" s="41"/>
    </row>
    <row r="65" spans="2:11" s="30" customFormat="1" ht="15" x14ac:dyDescent="0.25">
      <c r="B65" s="13"/>
      <c r="C65" s="13"/>
      <c r="D65" s="13"/>
      <c r="E65" s="13"/>
      <c r="F65" s="13"/>
      <c r="G65" s="14"/>
      <c r="H65" s="26"/>
      <c r="I65" s="41"/>
      <c r="J65" s="41"/>
      <c r="K65" s="41"/>
    </row>
    <row r="66" spans="2:11" s="30" customFormat="1" ht="15" x14ac:dyDescent="0.25">
      <c r="B66" s="13"/>
      <c r="C66" s="13"/>
      <c r="D66" s="13"/>
      <c r="E66" s="13"/>
      <c r="F66" s="13"/>
      <c r="G66" s="14"/>
      <c r="H66" s="26"/>
      <c r="I66" s="41"/>
      <c r="J66" s="41"/>
      <c r="K66" s="41"/>
    </row>
    <row r="67" spans="2:11" s="30" customFormat="1" ht="15" x14ac:dyDescent="0.25">
      <c r="B67" s="13"/>
      <c r="C67" s="13"/>
      <c r="D67" s="13"/>
      <c r="E67" s="13"/>
      <c r="F67" s="13"/>
      <c r="G67" s="14"/>
      <c r="H67" s="26"/>
      <c r="I67" s="41"/>
      <c r="J67" s="41"/>
      <c r="K67" s="41"/>
    </row>
    <row r="68" spans="2:11" s="30" customFormat="1" ht="15" x14ac:dyDescent="0.25">
      <c r="B68" s="13"/>
      <c r="C68" s="13"/>
      <c r="D68" s="13"/>
      <c r="E68" s="13"/>
      <c r="F68" s="13"/>
      <c r="G68" s="14"/>
      <c r="H68" s="26"/>
      <c r="I68" s="41"/>
      <c r="J68" s="41"/>
      <c r="K68" s="41"/>
    </row>
    <row r="69" spans="2:11" s="30" customFormat="1" ht="15" x14ac:dyDescent="0.25">
      <c r="B69" s="13"/>
      <c r="C69" s="13"/>
      <c r="D69" s="13"/>
      <c r="E69" s="13"/>
      <c r="F69" s="13"/>
      <c r="G69" s="14"/>
      <c r="H69" s="26"/>
      <c r="I69" s="41"/>
      <c r="J69" s="41"/>
      <c r="K69" s="41"/>
    </row>
    <row r="70" spans="2:11" s="30" customFormat="1" ht="15" x14ac:dyDescent="0.25">
      <c r="B70" s="13"/>
      <c r="C70" s="13"/>
      <c r="D70" s="13"/>
      <c r="E70" s="13"/>
      <c r="F70" s="13"/>
      <c r="G70" s="14"/>
      <c r="H70" s="26"/>
      <c r="I70" s="41"/>
      <c r="J70" s="41"/>
      <c r="K70" s="41"/>
    </row>
    <row r="71" spans="2:11" s="30" customFormat="1" ht="15" x14ac:dyDescent="0.25">
      <c r="B71" s="13"/>
      <c r="C71" s="13"/>
      <c r="D71" s="13"/>
      <c r="E71" s="13"/>
      <c r="F71" s="13"/>
      <c r="G71" s="14"/>
      <c r="H71" s="26"/>
      <c r="I71" s="41"/>
      <c r="J71" s="41"/>
      <c r="K71" s="41"/>
    </row>
    <row r="72" spans="2:11" s="30" customFormat="1" ht="15" x14ac:dyDescent="0.25">
      <c r="B72" s="13"/>
      <c r="C72" s="13"/>
      <c r="D72" s="13"/>
      <c r="E72" s="13"/>
      <c r="F72" s="13"/>
      <c r="G72" s="14"/>
      <c r="H72" s="26"/>
      <c r="I72" s="41"/>
      <c r="J72" s="41"/>
      <c r="K72" s="41"/>
    </row>
    <row r="73" spans="2:11" s="30" customFormat="1" ht="15" x14ac:dyDescent="0.25">
      <c r="B73" s="13"/>
      <c r="C73" s="13"/>
      <c r="D73" s="13"/>
      <c r="E73" s="13"/>
      <c r="F73" s="13"/>
      <c r="G73" s="14"/>
      <c r="H73" s="26"/>
      <c r="I73" s="41"/>
      <c r="J73" s="41"/>
      <c r="K73" s="41"/>
    </row>
    <row r="74" spans="2:11" s="30" customFormat="1" ht="15" x14ac:dyDescent="0.25">
      <c r="B74" s="13"/>
      <c r="C74" s="13"/>
      <c r="D74" s="13"/>
      <c r="E74" s="13"/>
      <c r="F74" s="13"/>
      <c r="G74" s="14"/>
      <c r="H74" s="26"/>
      <c r="I74" s="41"/>
      <c r="J74" s="41"/>
      <c r="K74" s="41"/>
    </row>
    <row r="75" spans="2:11" s="30" customFormat="1" ht="15" x14ac:dyDescent="0.25">
      <c r="B75" s="13"/>
      <c r="C75" s="13"/>
      <c r="D75" s="13"/>
      <c r="E75" s="13"/>
      <c r="F75" s="13"/>
      <c r="G75" s="14"/>
      <c r="H75" s="26"/>
      <c r="I75" s="41"/>
      <c r="J75" s="41"/>
      <c r="K75" s="41"/>
    </row>
    <row r="76" spans="2:11" s="30" customFormat="1" x14ac:dyDescent="0.25">
      <c r="B76" s="32"/>
      <c r="C76" s="32"/>
      <c r="D76" s="32"/>
      <c r="E76" s="32"/>
      <c r="F76" s="32"/>
      <c r="G76" s="29"/>
      <c r="H76" s="31"/>
      <c r="I76" s="33"/>
      <c r="J76" s="33"/>
      <c r="K76" s="33"/>
    </row>
    <row r="77" spans="2:11" s="30" customFormat="1" x14ac:dyDescent="0.25">
      <c r="B77" s="105" t="s">
        <v>75</v>
      </c>
      <c r="C77" s="106"/>
      <c r="D77" s="106"/>
      <c r="E77" s="106"/>
      <c r="F77" s="39"/>
      <c r="G77" s="29"/>
      <c r="H77" s="31"/>
      <c r="I77" s="33"/>
      <c r="J77" s="33"/>
      <c r="K77" s="33"/>
    </row>
    <row r="78" spans="2:11" ht="21.75" customHeight="1" x14ac:dyDescent="0.2">
      <c r="B78" s="101" t="s">
        <v>17</v>
      </c>
      <c r="C78" s="102"/>
      <c r="D78" s="101">
        <v>71</v>
      </c>
      <c r="E78" s="101"/>
      <c r="F78" s="36"/>
      <c r="G78" s="3"/>
      <c r="H78" s="3"/>
    </row>
    <row r="79" spans="2:11" ht="24.75" customHeight="1" x14ac:dyDescent="0.2">
      <c r="B79" s="109" t="s">
        <v>33</v>
      </c>
      <c r="C79" s="110"/>
      <c r="D79" s="107">
        <f>D80+D81+D82+D83</f>
        <v>7089.2</v>
      </c>
      <c r="E79" s="108"/>
      <c r="F79" s="37"/>
      <c r="G79" s="3"/>
      <c r="H79" s="3"/>
    </row>
    <row r="80" spans="2:11" ht="18" customHeight="1" x14ac:dyDescent="0.2">
      <c r="B80" s="101" t="s">
        <v>13</v>
      </c>
      <c r="C80" s="102"/>
      <c r="D80" s="104">
        <v>1828.3</v>
      </c>
      <c r="E80" s="104"/>
      <c r="F80" s="38"/>
      <c r="G80" s="3"/>
      <c r="H80" s="3"/>
    </row>
    <row r="81" spans="2:11" ht="18" customHeight="1" x14ac:dyDescent="0.2">
      <c r="B81" s="101" t="s">
        <v>14</v>
      </c>
      <c r="C81" s="102"/>
      <c r="D81" s="104">
        <v>1960.1</v>
      </c>
      <c r="E81" s="104"/>
      <c r="F81" s="38"/>
      <c r="G81" s="3"/>
      <c r="H81" s="3"/>
    </row>
    <row r="82" spans="2:11" ht="18" customHeight="1" x14ac:dyDescent="0.2">
      <c r="B82" s="101" t="s">
        <v>15</v>
      </c>
      <c r="C82" s="102"/>
      <c r="D82" s="104">
        <v>1436.8</v>
      </c>
      <c r="E82" s="104"/>
      <c r="F82" s="38"/>
      <c r="G82" s="3"/>
      <c r="H82" s="3"/>
    </row>
    <row r="83" spans="2:11" ht="18" customHeight="1" x14ac:dyDescent="0.2">
      <c r="B83" s="101" t="s">
        <v>16</v>
      </c>
      <c r="C83" s="102"/>
      <c r="D83" s="104">
        <v>1864</v>
      </c>
      <c r="E83" s="104"/>
      <c r="F83" s="38"/>
      <c r="G83" s="3"/>
      <c r="H83" s="3"/>
    </row>
    <row r="84" spans="2:11" x14ac:dyDescent="0.2">
      <c r="E84" s="40"/>
      <c r="F84" s="40"/>
    </row>
    <row r="85" spans="2:11" ht="12" customHeight="1" x14ac:dyDescent="0.2">
      <c r="B85" s="111" t="s">
        <v>56</v>
      </c>
      <c r="C85" s="111"/>
      <c r="D85" s="111"/>
      <c r="E85" s="111"/>
      <c r="F85" s="111"/>
      <c r="G85" s="111"/>
      <c r="H85" s="111"/>
      <c r="I85" s="111"/>
      <c r="J85" s="111"/>
      <c r="K85" s="111"/>
    </row>
    <row r="86" spans="2:11" x14ac:dyDescent="0.2">
      <c r="B86" s="111"/>
      <c r="C86" s="111"/>
      <c r="D86" s="111"/>
      <c r="E86" s="111"/>
      <c r="F86" s="111"/>
      <c r="G86" s="111"/>
      <c r="H86" s="111"/>
      <c r="I86" s="111"/>
      <c r="J86" s="111"/>
      <c r="K86" s="111"/>
    </row>
    <row r="87" spans="2:11" x14ac:dyDescent="0.2">
      <c r="B87" s="111"/>
      <c r="C87" s="111"/>
      <c r="D87" s="111"/>
      <c r="E87" s="111"/>
      <c r="F87" s="111"/>
      <c r="G87" s="111"/>
      <c r="H87" s="111"/>
      <c r="I87" s="111"/>
      <c r="J87" s="111"/>
      <c r="K87" s="111"/>
    </row>
    <row r="88" spans="2:11" ht="3.75" customHeight="1" x14ac:dyDescent="0.2"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2:11" ht="12" hidden="1" customHeight="1" x14ac:dyDescent="0.2">
      <c r="B89" s="111"/>
      <c r="C89" s="111"/>
      <c r="D89" s="111"/>
      <c r="E89" s="111"/>
      <c r="F89" s="111"/>
      <c r="G89" s="111"/>
      <c r="H89" s="111"/>
      <c r="I89" s="111"/>
      <c r="J89" s="111"/>
      <c r="K89" s="111"/>
    </row>
    <row r="90" spans="2:11" ht="52.5" customHeight="1" x14ac:dyDescent="0.2">
      <c r="B90" s="111" t="s">
        <v>57</v>
      </c>
      <c r="C90" s="111"/>
      <c r="D90" s="111"/>
      <c r="E90" s="111"/>
      <c r="F90" s="111"/>
      <c r="G90" s="111"/>
      <c r="H90" s="111"/>
      <c r="I90" s="111"/>
      <c r="J90" s="111"/>
      <c r="K90" s="111"/>
    </row>
    <row r="94" spans="2:11" s="28" customFormat="1" ht="34.5" customHeight="1" x14ac:dyDescent="0.25">
      <c r="B94" s="114" t="s">
        <v>23</v>
      </c>
      <c r="C94" s="115"/>
      <c r="D94" s="115"/>
      <c r="E94" s="115"/>
      <c r="F94" s="115"/>
      <c r="G94" s="115"/>
      <c r="H94" s="115"/>
    </row>
    <row r="95" spans="2:11" ht="24" x14ac:dyDescent="0.2">
      <c r="B95" s="112"/>
      <c r="C95" s="112"/>
      <c r="D95" s="113" t="s">
        <v>28</v>
      </c>
      <c r="E95" s="113"/>
      <c r="F95" s="113"/>
      <c r="G95" s="27" t="s">
        <v>18</v>
      </c>
      <c r="H95" s="27" t="s">
        <v>3</v>
      </c>
    </row>
    <row r="96" spans="2:11" x14ac:dyDescent="0.2">
      <c r="B96" s="112" t="s">
        <v>24</v>
      </c>
      <c r="C96" s="112"/>
      <c r="D96" s="113" t="s">
        <v>25</v>
      </c>
      <c r="E96" s="113"/>
      <c r="F96" s="113"/>
      <c r="G96" s="34">
        <v>0</v>
      </c>
      <c r="H96" s="34">
        <v>0</v>
      </c>
    </row>
    <row r="97" spans="2:8" x14ac:dyDescent="0.2">
      <c r="B97" s="112" t="s">
        <v>26</v>
      </c>
      <c r="C97" s="112"/>
      <c r="D97" s="113" t="s">
        <v>27</v>
      </c>
      <c r="E97" s="113"/>
      <c r="F97" s="113"/>
      <c r="G97" s="34">
        <v>0</v>
      </c>
      <c r="H97" s="34">
        <v>0</v>
      </c>
    </row>
    <row r="98" spans="2:8" x14ac:dyDescent="0.2">
      <c r="B98" s="112" t="s">
        <v>29</v>
      </c>
      <c r="C98" s="112"/>
      <c r="D98" s="113" t="s">
        <v>31</v>
      </c>
      <c r="E98" s="113"/>
      <c r="F98" s="113"/>
      <c r="G98" s="34">
        <v>0</v>
      </c>
      <c r="H98" s="34">
        <v>0</v>
      </c>
    </row>
    <row r="99" spans="2:8" x14ac:dyDescent="0.2">
      <c r="B99" s="112" t="s">
        <v>30</v>
      </c>
      <c r="C99" s="112"/>
      <c r="D99" s="113" t="s">
        <v>32</v>
      </c>
      <c r="E99" s="113"/>
      <c r="F99" s="113"/>
      <c r="G99" s="34">
        <v>0</v>
      </c>
      <c r="H99" s="34">
        <v>0</v>
      </c>
    </row>
    <row r="100" spans="2:8" x14ac:dyDescent="0.2">
      <c r="B100" s="35"/>
      <c r="C100" s="35"/>
    </row>
    <row r="101" spans="2:8" x14ac:dyDescent="0.2">
      <c r="B101" s="35"/>
      <c r="C101" s="35"/>
    </row>
  </sheetData>
  <mergeCells count="94">
    <mergeCell ref="B9:K10"/>
    <mergeCell ref="B40:F40"/>
    <mergeCell ref="I39:I40"/>
    <mergeCell ref="J39:J40"/>
    <mergeCell ref="K39:K40"/>
    <mergeCell ref="B13:K13"/>
    <mergeCell ref="I14:I18"/>
    <mergeCell ref="J14:J18"/>
    <mergeCell ref="K14:K18"/>
    <mergeCell ref="I19:I21"/>
    <mergeCell ref="J19:J21"/>
    <mergeCell ref="K19:K21"/>
    <mergeCell ref="B15:F15"/>
    <mergeCell ref="B17:F17"/>
    <mergeCell ref="B18:F18"/>
    <mergeCell ref="B35:F35"/>
    <mergeCell ref="I22:I36"/>
    <mergeCell ref="J22:J36"/>
    <mergeCell ref="K22:K36"/>
    <mergeCell ref="I55:K55"/>
    <mergeCell ref="B43:F43"/>
    <mergeCell ref="B45:F45"/>
    <mergeCell ref="B46:F46"/>
    <mergeCell ref="B47:F47"/>
    <mergeCell ref="I41:I43"/>
    <mergeCell ref="J41:J43"/>
    <mergeCell ref="K41:K43"/>
    <mergeCell ref="I44:I47"/>
    <mergeCell ref="B31:F31"/>
    <mergeCell ref="J44:J47"/>
    <mergeCell ref="K44:K47"/>
    <mergeCell ref="B51:F51"/>
    <mergeCell ref="B85:K89"/>
    <mergeCell ref="G15:G18"/>
    <mergeCell ref="B50:F50"/>
    <mergeCell ref="B25:F25"/>
    <mergeCell ref="B24:F24"/>
    <mergeCell ref="B27:F27"/>
    <mergeCell ref="B41:F41"/>
    <mergeCell ref="B44:F44"/>
    <mergeCell ref="B36:F36"/>
    <mergeCell ref="B39:F39"/>
    <mergeCell ref="B48:F48"/>
    <mergeCell ref="B49:F49"/>
    <mergeCell ref="B26:F26"/>
    <mergeCell ref="B32:F32"/>
    <mergeCell ref="B28:F28"/>
    <mergeCell ref="B29:F29"/>
    <mergeCell ref="B90:K90"/>
    <mergeCell ref="B99:C99"/>
    <mergeCell ref="D99:F99"/>
    <mergeCell ref="B82:C82"/>
    <mergeCell ref="B97:C97"/>
    <mergeCell ref="D97:F97"/>
    <mergeCell ref="B95:C95"/>
    <mergeCell ref="D95:F95"/>
    <mergeCell ref="B83:C83"/>
    <mergeCell ref="B98:C98"/>
    <mergeCell ref="D98:F98"/>
    <mergeCell ref="B94:H94"/>
    <mergeCell ref="B96:C96"/>
    <mergeCell ref="D96:F96"/>
    <mergeCell ref="D82:E82"/>
    <mergeCell ref="D83:E83"/>
    <mergeCell ref="B80:C80"/>
    <mergeCell ref="B81:C81"/>
    <mergeCell ref="B52:F52"/>
    <mergeCell ref="B78:C78"/>
    <mergeCell ref="D80:E80"/>
    <mergeCell ref="D81:E81"/>
    <mergeCell ref="B77:E77"/>
    <mergeCell ref="D78:E78"/>
    <mergeCell ref="D79:E79"/>
    <mergeCell ref="B79:C79"/>
    <mergeCell ref="B12:F12"/>
    <mergeCell ref="B14:F14"/>
    <mergeCell ref="B19:F19"/>
    <mergeCell ref="B20:F20"/>
    <mergeCell ref="B16:F16"/>
    <mergeCell ref="G20:G21"/>
    <mergeCell ref="G23:G36"/>
    <mergeCell ref="B22:F22"/>
    <mergeCell ref="B21:F21"/>
    <mergeCell ref="B23:F23"/>
    <mergeCell ref="B33:F33"/>
    <mergeCell ref="B34:F34"/>
    <mergeCell ref="B30:F30"/>
    <mergeCell ref="I37:K38"/>
    <mergeCell ref="I56:K56"/>
    <mergeCell ref="I57:K57"/>
    <mergeCell ref="B37:F37"/>
    <mergeCell ref="B38:F38"/>
    <mergeCell ref="G42:G43"/>
    <mergeCell ref="B42:F42"/>
  </mergeCells>
  <pageMargins left="0" right="0" top="0" bottom="0" header="0" footer="0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topLeftCell="A4" workbookViewId="0">
      <selection activeCell="J17" sqref="J17"/>
    </sheetView>
  </sheetViews>
  <sheetFormatPr defaultRowHeight="15" x14ac:dyDescent="0.25"/>
  <cols>
    <col min="1" max="1" width="6.42578125" customWidth="1"/>
    <col min="2" max="2" width="5.85546875" style="9" customWidth="1"/>
    <col min="6" max="6" width="11.28515625" customWidth="1"/>
    <col min="9" max="9" width="2.28515625" customWidth="1"/>
    <col min="10" max="10" width="14.7109375" customWidth="1"/>
    <col min="13" max="13" width="1.28515625" customWidth="1"/>
  </cols>
  <sheetData>
    <row r="3" spans="1:14" s="5" customFormat="1" ht="39" customHeight="1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s="1" customFormat="1" ht="12" x14ac:dyDescent="0.2">
      <c r="B4" s="8"/>
      <c r="C4" s="2"/>
      <c r="D4" s="2"/>
      <c r="E4" s="2"/>
      <c r="F4" s="2"/>
      <c r="G4" s="2"/>
      <c r="H4" s="2"/>
      <c r="I4" s="2"/>
      <c r="J4" s="2"/>
    </row>
    <row r="5" spans="1:14" s="1" customFormat="1" ht="34.5" customHeight="1" x14ac:dyDescent="0.2">
      <c r="B5" s="8"/>
      <c r="C5" s="136" t="s">
        <v>34</v>
      </c>
      <c r="D5" s="136"/>
      <c r="E5" s="136"/>
      <c r="F5" s="136"/>
      <c r="G5" s="136"/>
      <c r="H5" s="136"/>
      <c r="I5" s="136"/>
      <c r="J5" s="136"/>
      <c r="K5" s="136"/>
      <c r="L5" s="136"/>
    </row>
    <row r="6" spans="1:14" s="1" customFormat="1" ht="15.75" customHeight="1" x14ac:dyDescent="0.2">
      <c r="B6" s="134" t="s">
        <v>35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1:14" ht="6" customHeight="1" x14ac:dyDescent="0.25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</row>
    <row r="8" spans="1:14" ht="7.5" customHeight="1" x14ac:dyDescent="0.25">
      <c r="C8" s="137"/>
      <c r="D8" s="137"/>
      <c r="E8" s="137"/>
      <c r="F8" s="137"/>
      <c r="G8" s="137"/>
      <c r="H8" s="137"/>
      <c r="I8" s="137"/>
      <c r="J8" s="137"/>
      <c r="K8" s="137"/>
      <c r="L8" s="137"/>
    </row>
    <row r="9" spans="1:14" ht="6" hidden="1" customHeight="1" x14ac:dyDescent="0.25">
      <c r="C9" s="137"/>
      <c r="D9" s="137"/>
      <c r="E9" s="137"/>
      <c r="F9" s="137"/>
      <c r="G9" s="137"/>
      <c r="H9" s="137"/>
      <c r="I9" s="137"/>
      <c r="J9" s="137"/>
      <c r="K9" s="137"/>
      <c r="L9" s="137"/>
    </row>
    <row r="10" spans="1:14" ht="5.25" customHeight="1" x14ac:dyDescent="0.25"/>
    <row r="11" spans="1:14" s="4" customFormat="1" ht="41.25" customHeight="1" x14ac:dyDescent="0.25">
      <c r="B11" s="10" t="s">
        <v>6</v>
      </c>
      <c r="C11" s="127" t="s">
        <v>7</v>
      </c>
      <c r="D11" s="127"/>
      <c r="E11" s="127"/>
      <c r="F11" s="127"/>
      <c r="G11" s="128" t="s">
        <v>86</v>
      </c>
      <c r="H11" s="128"/>
      <c r="I11" s="128"/>
      <c r="J11" s="64" t="s">
        <v>87</v>
      </c>
      <c r="K11" s="128" t="s">
        <v>10</v>
      </c>
      <c r="L11" s="128"/>
      <c r="M11" s="128"/>
    </row>
    <row r="12" spans="1:14" x14ac:dyDescent="0.25">
      <c r="B12" s="6">
        <v>1</v>
      </c>
      <c r="C12" s="125" t="s">
        <v>8</v>
      </c>
      <c r="D12" s="125"/>
      <c r="E12" s="125"/>
      <c r="F12" s="125"/>
      <c r="G12" s="126">
        <v>34500</v>
      </c>
      <c r="H12" s="126"/>
      <c r="I12" s="126"/>
      <c r="J12" s="71">
        <f>G12*0.87</f>
        <v>30015</v>
      </c>
      <c r="K12" s="129">
        <f>G12*12</f>
        <v>414000</v>
      </c>
      <c r="L12" s="129"/>
      <c r="M12" s="129"/>
    </row>
    <row r="13" spans="1:14" x14ac:dyDescent="0.25">
      <c r="B13" s="6">
        <v>2</v>
      </c>
      <c r="C13" s="125" t="s">
        <v>9</v>
      </c>
      <c r="D13" s="125"/>
      <c r="E13" s="125"/>
      <c r="F13" s="125"/>
      <c r="G13" s="126">
        <v>20700</v>
      </c>
      <c r="H13" s="126"/>
      <c r="I13" s="126"/>
      <c r="J13" s="71">
        <f t="shared" ref="J13:J16" si="0">G13*0.87</f>
        <v>18009</v>
      </c>
      <c r="K13" s="129">
        <f>G13*12</f>
        <v>248400</v>
      </c>
      <c r="L13" s="129"/>
      <c r="M13" s="129"/>
    </row>
    <row r="14" spans="1:14" x14ac:dyDescent="0.25">
      <c r="B14" s="6">
        <v>3</v>
      </c>
      <c r="C14" s="125" t="s">
        <v>36</v>
      </c>
      <c r="D14" s="125"/>
      <c r="E14" s="125"/>
      <c r="F14" s="125"/>
      <c r="G14" s="126">
        <f>8700+5750</f>
        <v>14450</v>
      </c>
      <c r="H14" s="126"/>
      <c r="I14" s="126"/>
      <c r="J14" s="71">
        <f t="shared" si="0"/>
        <v>12571.5</v>
      </c>
      <c r="K14" s="129">
        <f t="shared" ref="K14:K16" si="1">G14*12</f>
        <v>173400</v>
      </c>
      <c r="L14" s="129"/>
      <c r="M14" s="129"/>
    </row>
    <row r="15" spans="1:14" ht="36" customHeight="1" x14ac:dyDescent="0.25">
      <c r="B15" s="6">
        <v>4</v>
      </c>
      <c r="C15" s="131" t="s">
        <v>85</v>
      </c>
      <c r="D15" s="132"/>
      <c r="E15" s="132"/>
      <c r="F15" s="133"/>
      <c r="G15" s="126">
        <v>10000</v>
      </c>
      <c r="H15" s="126"/>
      <c r="I15" s="126"/>
      <c r="J15" s="71">
        <f t="shared" si="0"/>
        <v>8700</v>
      </c>
      <c r="K15" s="129">
        <f t="shared" si="1"/>
        <v>120000</v>
      </c>
      <c r="L15" s="129"/>
      <c r="M15" s="129"/>
    </row>
    <row r="16" spans="1:14" ht="26.25" customHeight="1" x14ac:dyDescent="0.25">
      <c r="B16" s="6">
        <v>5</v>
      </c>
      <c r="C16" s="125" t="s">
        <v>54</v>
      </c>
      <c r="D16" s="125"/>
      <c r="E16" s="125"/>
      <c r="F16" s="125"/>
      <c r="G16" s="139">
        <v>5900</v>
      </c>
      <c r="H16" s="140"/>
      <c r="I16" s="141"/>
      <c r="J16" s="71">
        <f t="shared" si="0"/>
        <v>5133</v>
      </c>
      <c r="K16" s="129">
        <f t="shared" si="1"/>
        <v>70800</v>
      </c>
      <c r="L16" s="129"/>
      <c r="M16" s="129"/>
    </row>
    <row r="17" spans="2:13" ht="64.5" customHeight="1" x14ac:dyDescent="0.25">
      <c r="B17" s="6">
        <v>6</v>
      </c>
      <c r="C17" s="131" t="s">
        <v>88</v>
      </c>
      <c r="D17" s="132"/>
      <c r="E17" s="132"/>
      <c r="F17" s="133"/>
      <c r="G17" s="126">
        <f>G12+G13+G14+G15+G16</f>
        <v>85550</v>
      </c>
      <c r="H17" s="126"/>
      <c r="I17" s="126"/>
      <c r="J17" s="71">
        <v>0</v>
      </c>
      <c r="K17" s="129">
        <f>G17</f>
        <v>85550</v>
      </c>
      <c r="L17" s="129"/>
      <c r="M17" s="129"/>
    </row>
    <row r="18" spans="2:13" ht="15.75" x14ac:dyDescent="0.25">
      <c r="B18" s="125" t="s">
        <v>12</v>
      </c>
      <c r="C18" s="125"/>
      <c r="D18" s="125"/>
      <c r="E18" s="125"/>
      <c r="F18" s="125"/>
      <c r="G18" s="130">
        <f>SUM(G12:I17)</f>
        <v>171100</v>
      </c>
      <c r="H18" s="130"/>
      <c r="I18" s="130"/>
      <c r="J18" s="63">
        <f>SUM(J12:J17)</f>
        <v>74428.5</v>
      </c>
      <c r="K18" s="130">
        <f>SUM(K12:M17)</f>
        <v>1112150</v>
      </c>
      <c r="L18" s="130"/>
      <c r="M18" s="130"/>
    </row>
    <row r="19" spans="2:13" x14ac:dyDescent="0.25">
      <c r="B19" s="6"/>
      <c r="C19" s="125" t="s">
        <v>11</v>
      </c>
      <c r="D19" s="125"/>
      <c r="E19" s="125"/>
      <c r="F19" s="125"/>
      <c r="G19" s="129">
        <f>(SUM(G12:I17))*30.2%</f>
        <v>51672.2</v>
      </c>
      <c r="H19" s="129"/>
      <c r="I19" s="129"/>
      <c r="J19" s="65"/>
      <c r="K19" s="129">
        <f>(SUM(K12:M17))*30.2%</f>
        <v>335869.3</v>
      </c>
      <c r="L19" s="129"/>
      <c r="M19" s="129"/>
    </row>
    <row r="20" spans="2:13" ht="15.75" x14ac:dyDescent="0.25">
      <c r="B20" s="6"/>
      <c r="C20" s="125" t="s">
        <v>19</v>
      </c>
      <c r="D20" s="125"/>
      <c r="E20" s="125"/>
      <c r="F20" s="125"/>
      <c r="G20" s="130">
        <f>G18+G19</f>
        <v>222772.2</v>
      </c>
      <c r="H20" s="130"/>
      <c r="I20" s="130"/>
      <c r="J20" s="63"/>
      <c r="K20" s="130">
        <f>K18+K19</f>
        <v>1448019.3</v>
      </c>
      <c r="L20" s="130"/>
      <c r="M20" s="130"/>
    </row>
    <row r="21" spans="2:13" x14ac:dyDescent="0.25">
      <c r="C21" s="134"/>
      <c r="D21" s="134"/>
      <c r="E21" s="134"/>
      <c r="F21" s="134"/>
      <c r="G21" s="134"/>
      <c r="H21" s="134"/>
      <c r="I21" s="134"/>
      <c r="J21" s="62"/>
      <c r="K21" s="134"/>
      <c r="L21" s="134"/>
      <c r="M21" s="134"/>
    </row>
  </sheetData>
  <mergeCells count="37">
    <mergeCell ref="K16:M16"/>
    <mergeCell ref="A3:N3"/>
    <mergeCell ref="C5:L5"/>
    <mergeCell ref="C8:L9"/>
    <mergeCell ref="B6:L7"/>
    <mergeCell ref="K11:M11"/>
    <mergeCell ref="K12:M12"/>
    <mergeCell ref="K13:M13"/>
    <mergeCell ref="K14:M14"/>
    <mergeCell ref="K15:M15"/>
    <mergeCell ref="C14:F14"/>
    <mergeCell ref="G14:I14"/>
    <mergeCell ref="C15:F15"/>
    <mergeCell ref="G15:I15"/>
    <mergeCell ref="C16:F16"/>
    <mergeCell ref="G16:I16"/>
    <mergeCell ref="K21:M21"/>
    <mergeCell ref="B18:F18"/>
    <mergeCell ref="G18:I18"/>
    <mergeCell ref="K18:M18"/>
    <mergeCell ref="C21:F21"/>
    <mergeCell ref="G21:I21"/>
    <mergeCell ref="K17:M17"/>
    <mergeCell ref="C19:F19"/>
    <mergeCell ref="G19:I19"/>
    <mergeCell ref="C20:F20"/>
    <mergeCell ref="G20:I20"/>
    <mergeCell ref="K19:M19"/>
    <mergeCell ref="K20:M20"/>
    <mergeCell ref="C17:F17"/>
    <mergeCell ref="G17:I17"/>
    <mergeCell ref="C13:F13"/>
    <mergeCell ref="G13:I13"/>
    <mergeCell ref="C11:F11"/>
    <mergeCell ref="G11:I11"/>
    <mergeCell ref="C12:F12"/>
    <mergeCell ref="G12:I1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18"/>
  <sheetViews>
    <sheetView workbookViewId="0">
      <selection activeCell="E19" sqref="E19"/>
    </sheetView>
  </sheetViews>
  <sheetFormatPr defaultRowHeight="15.75" x14ac:dyDescent="0.25"/>
  <cols>
    <col min="1" max="1" width="5.5703125" style="17" customWidth="1"/>
    <col min="2" max="2" width="5" style="16" customWidth="1"/>
    <col min="3" max="3" width="62.85546875" style="17" customWidth="1"/>
    <col min="4" max="4" width="12.28515625" style="16" customWidth="1"/>
    <col min="5" max="5" width="11.42578125" style="16" customWidth="1"/>
    <col min="6" max="6" width="11.5703125" style="16" customWidth="1"/>
    <col min="7" max="7" width="13.140625" style="16" customWidth="1"/>
    <col min="8" max="11" width="9.140625" style="16"/>
    <col min="12" max="16384" width="9.140625" style="17"/>
  </cols>
  <sheetData>
    <row r="3" spans="2:7" ht="18.75" x14ac:dyDescent="0.3">
      <c r="B3" s="147" t="s">
        <v>42</v>
      </c>
      <c r="C3" s="148"/>
      <c r="D3" s="148"/>
      <c r="E3" s="148"/>
      <c r="F3" s="149"/>
    </row>
    <row r="4" spans="2:7" x14ac:dyDescent="0.25">
      <c r="B4" s="142" t="s">
        <v>6</v>
      </c>
      <c r="C4" s="142" t="s">
        <v>71</v>
      </c>
      <c r="D4" s="12" t="s">
        <v>41</v>
      </c>
      <c r="E4" s="12" t="s">
        <v>43</v>
      </c>
      <c r="F4" s="12" t="s">
        <v>44</v>
      </c>
      <c r="G4" s="12" t="s">
        <v>47</v>
      </c>
    </row>
    <row r="5" spans="2:7" x14ac:dyDescent="0.25">
      <c r="B5" s="142"/>
      <c r="C5" s="142"/>
      <c r="D5" s="19">
        <v>1864</v>
      </c>
      <c r="E5" s="19">
        <v>1436.8</v>
      </c>
      <c r="F5" s="19">
        <v>3788.4</v>
      </c>
      <c r="G5" s="12">
        <f>D5+E5+F5</f>
        <v>7089.2000000000007</v>
      </c>
    </row>
    <row r="6" spans="2:7" x14ac:dyDescent="0.25">
      <c r="B6" s="144"/>
      <c r="C6" s="145"/>
      <c r="D6" s="145"/>
      <c r="E6" s="145"/>
      <c r="F6" s="146"/>
      <c r="G6" s="20"/>
    </row>
    <row r="7" spans="2:7" x14ac:dyDescent="0.25">
      <c r="B7" s="19">
        <v>1</v>
      </c>
      <c r="C7" s="21" t="s">
        <v>45</v>
      </c>
      <c r="D7" s="24">
        <v>170000</v>
      </c>
      <c r="E7" s="24">
        <v>0</v>
      </c>
      <c r="F7" s="24">
        <v>0</v>
      </c>
      <c r="G7" s="20"/>
    </row>
    <row r="8" spans="2:7" x14ac:dyDescent="0.25">
      <c r="B8" s="19">
        <v>2</v>
      </c>
      <c r="C8" s="21" t="s">
        <v>46</v>
      </c>
      <c r="D8" s="24">
        <v>0</v>
      </c>
      <c r="E8" s="24">
        <v>0</v>
      </c>
      <c r="F8" s="24">
        <v>0</v>
      </c>
      <c r="G8" s="20"/>
    </row>
    <row r="9" spans="2:7" x14ac:dyDescent="0.25">
      <c r="B9" s="70">
        <v>3</v>
      </c>
      <c r="C9" s="21" t="s">
        <v>48</v>
      </c>
      <c r="D9" s="24">
        <v>0</v>
      </c>
      <c r="E9" s="24">
        <v>37500</v>
      </c>
      <c r="F9" s="24">
        <v>0</v>
      </c>
      <c r="G9" s="20"/>
    </row>
    <row r="10" spans="2:7" x14ac:dyDescent="0.25">
      <c r="B10" s="70">
        <v>4</v>
      </c>
      <c r="C10" s="21" t="s">
        <v>49</v>
      </c>
      <c r="D10" s="24">
        <v>0</v>
      </c>
      <c r="E10" s="24">
        <v>14900</v>
      </c>
      <c r="F10" s="24">
        <v>0</v>
      </c>
      <c r="G10" s="20"/>
    </row>
    <row r="11" spans="2:7" x14ac:dyDescent="0.25">
      <c r="B11" s="70">
        <v>5</v>
      </c>
      <c r="C11" s="21" t="s">
        <v>50</v>
      </c>
      <c r="D11" s="24">
        <v>0</v>
      </c>
      <c r="E11" s="24">
        <v>0</v>
      </c>
      <c r="F11" s="24">
        <v>25000</v>
      </c>
      <c r="G11" s="20"/>
    </row>
    <row r="12" spans="2:7" ht="33" customHeight="1" x14ac:dyDescent="0.25">
      <c r="B12" s="70">
        <v>6</v>
      </c>
      <c r="C12" s="21" t="s">
        <v>51</v>
      </c>
      <c r="D12" s="24">
        <v>0</v>
      </c>
      <c r="E12" s="24">
        <v>0</v>
      </c>
      <c r="F12" s="24">
        <v>55000</v>
      </c>
      <c r="G12" s="20"/>
    </row>
    <row r="13" spans="2:7" x14ac:dyDescent="0.25">
      <c r="B13" s="70">
        <v>7</v>
      </c>
      <c r="C13" s="21" t="s">
        <v>52</v>
      </c>
      <c r="D13" s="24">
        <v>0</v>
      </c>
      <c r="E13" s="24">
        <v>0</v>
      </c>
      <c r="F13" s="24">
        <v>40000</v>
      </c>
      <c r="G13" s="20"/>
    </row>
    <row r="14" spans="2:7" x14ac:dyDescent="0.25">
      <c r="B14" s="22"/>
      <c r="C14" s="23"/>
      <c r="D14" s="25">
        <f>SUM(D7:D13)</f>
        <v>170000</v>
      </c>
      <c r="E14" s="25">
        <f>SUM(E7:E13)</f>
        <v>52400</v>
      </c>
      <c r="F14" s="25">
        <f>SUM(F7:F13)</f>
        <v>120000</v>
      </c>
      <c r="G14" s="22"/>
    </row>
    <row r="15" spans="2:7" x14ac:dyDescent="0.25">
      <c r="B15" s="22"/>
      <c r="C15" s="23"/>
      <c r="D15" s="143">
        <f>D14+E14+F14</f>
        <v>342400</v>
      </c>
      <c r="E15" s="143"/>
      <c r="F15" s="143"/>
      <c r="G15" s="22"/>
    </row>
    <row r="16" spans="2:7" x14ac:dyDescent="0.25">
      <c r="B16" s="22"/>
      <c r="C16" s="23"/>
      <c r="D16" s="7">
        <f>(D14/D5)/12</f>
        <v>7.6001430615164516</v>
      </c>
      <c r="E16" s="7">
        <f>E14/E5/12</f>
        <v>3.0391610987379365</v>
      </c>
      <c r="F16" s="7">
        <f>(F14/F5)/12</f>
        <v>2.6396367859782495</v>
      </c>
      <c r="G16" s="22"/>
    </row>
    <row r="17" spans="4:6" x14ac:dyDescent="0.25">
      <c r="D17" s="18"/>
      <c r="E17" s="18"/>
      <c r="F17" s="18"/>
    </row>
    <row r="18" spans="4:6" x14ac:dyDescent="0.25">
      <c r="D18" s="18"/>
      <c r="E18" s="18"/>
      <c r="F18" s="18"/>
    </row>
  </sheetData>
  <mergeCells count="5">
    <mergeCell ref="C4:C5"/>
    <mergeCell ref="B4:B5"/>
    <mergeCell ref="D15:F15"/>
    <mergeCell ref="B6:F6"/>
    <mergeCell ref="B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 НА 2019 г</vt:lpstr>
      <vt:lpstr>Фонд оплаты труда</vt:lpstr>
      <vt:lpstr>Текущий ремонт по статьям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Svetlana Kosheverskaya</cp:lastModifiedBy>
  <cp:lastPrinted>2019-01-27T19:35:47Z</cp:lastPrinted>
  <dcterms:created xsi:type="dcterms:W3CDTF">2017-01-08T11:24:59Z</dcterms:created>
  <dcterms:modified xsi:type="dcterms:W3CDTF">2019-01-28T16:05:00Z</dcterms:modified>
</cp:coreProperties>
</file>